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b66e8f8b3d9e86/^Nkishi/40_kango(看護)_★/日本医大/10_質問紙調査とデータ処理/配付参照資料/2024/"/>
    </mc:Choice>
  </mc:AlternateContent>
  <xr:revisionPtr revIDLastSave="0" documentId="14_{E8A25AED-950D-4848-A787-5731E5A0BEA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検定_F検定_効果量(ES)" sheetId="5" r:id="rId1"/>
    <sheet name="χ2検定_残差分析" sheetId="6" r:id="rId2"/>
    <sheet name="逆正弦変換法" sheetId="9" r:id="rId3"/>
  </sheets>
  <calcPr calcId="191029"/>
</workbook>
</file>

<file path=xl/calcChain.xml><?xml version="1.0" encoding="utf-8"?>
<calcChain xmlns="http://schemas.openxmlformats.org/spreadsheetml/2006/main">
  <c r="A39" i="6" l="1"/>
  <c r="B37" i="6"/>
  <c r="B36" i="6"/>
  <c r="B26" i="6"/>
  <c r="H19" i="9"/>
  <c r="G19" i="9"/>
  <c r="C19" i="9"/>
  <c r="H18" i="9"/>
  <c r="G18" i="9"/>
  <c r="C18" i="9"/>
  <c r="C11" i="9"/>
  <c r="B11" i="9"/>
  <c r="C15" i="9" s="1"/>
  <c r="C23" i="9" s="1"/>
  <c r="E23" i="9" s="1"/>
  <c r="F23" i="9" s="1"/>
  <c r="C10" i="9"/>
  <c r="B10" i="9"/>
  <c r="D10" i="9" s="1"/>
  <c r="C9" i="9"/>
  <c r="B9" i="9"/>
  <c r="F2" i="9"/>
  <c r="F3" i="9" s="1"/>
  <c r="C25" i="9" s="1"/>
  <c r="R9" i="6"/>
  <c r="R10" i="6"/>
  <c r="R8" i="6"/>
  <c r="P11" i="6"/>
  <c r="Q11" i="6"/>
  <c r="O11" i="6"/>
  <c r="J10" i="6"/>
  <c r="J15" i="6" s="1"/>
  <c r="I10" i="6"/>
  <c r="I15" i="6" s="1"/>
  <c r="H10" i="6"/>
  <c r="H15" i="6" s="1"/>
  <c r="C10" i="6"/>
  <c r="C15" i="6" s="1"/>
  <c r="B10" i="6"/>
  <c r="B15" i="6" s="1"/>
  <c r="K9" i="6"/>
  <c r="K14" i="6" s="1"/>
  <c r="D9" i="6"/>
  <c r="D14" i="6" s="1"/>
  <c r="K8" i="6"/>
  <c r="K13" i="6" s="1"/>
  <c r="D8" i="6"/>
  <c r="D13" i="6" s="1"/>
  <c r="D11" i="9" l="1"/>
  <c r="G11" i="9"/>
  <c r="C13" i="9" s="1"/>
  <c r="C16" i="9" s="1"/>
  <c r="C24" i="9" s="1"/>
  <c r="E24" i="9" s="1"/>
  <c r="F24" i="9" s="1"/>
  <c r="D9" i="9"/>
  <c r="C14" i="9" s="1"/>
  <c r="C22" i="9" s="1"/>
  <c r="E22" i="9" s="1"/>
  <c r="F22" i="9" s="1"/>
  <c r="R11" i="6"/>
  <c r="O32" i="6" s="1"/>
  <c r="D10" i="6"/>
  <c r="D15" i="6" s="1"/>
  <c r="B14" i="6" s="1"/>
  <c r="B19" i="6" s="1"/>
  <c r="P32" i="6"/>
  <c r="K10" i="6"/>
  <c r="K15" i="6" s="1"/>
  <c r="I14" i="6" s="1"/>
  <c r="J29" i="6" l="1"/>
  <c r="P15" i="6"/>
  <c r="P28" i="6" s="1"/>
  <c r="P33" i="6"/>
  <c r="P16" i="6"/>
  <c r="Q16" i="6"/>
  <c r="Q21" i="6" s="1"/>
  <c r="P14" i="6"/>
  <c r="P27" i="6" s="1"/>
  <c r="P37" i="6" s="1"/>
  <c r="I28" i="6"/>
  <c r="Q32" i="6"/>
  <c r="O33" i="6"/>
  <c r="O14" i="6"/>
  <c r="J28" i="6"/>
  <c r="Q33" i="6"/>
  <c r="I19" i="6"/>
  <c r="I26" i="6"/>
  <c r="O15" i="6"/>
  <c r="O20" i="6" s="1"/>
  <c r="H28" i="6"/>
  <c r="H29" i="6"/>
  <c r="O16" i="6"/>
  <c r="O21" i="6" s="1"/>
  <c r="O31" i="6"/>
  <c r="Q15" i="6"/>
  <c r="Q20" i="6" s="1"/>
  <c r="P31" i="6"/>
  <c r="Q14" i="6"/>
  <c r="Q27" i="6" s="1"/>
  <c r="I29" i="6"/>
  <c r="Q19" i="6"/>
  <c r="B13" i="6"/>
  <c r="C13" i="6" s="1"/>
  <c r="C18" i="6" s="1"/>
  <c r="Q31" i="6"/>
  <c r="I13" i="6"/>
  <c r="J14" i="6"/>
  <c r="H13" i="6"/>
  <c r="O28" i="6"/>
  <c r="O38" i="6" s="1"/>
  <c r="O27" i="6"/>
  <c r="O37" i="6" s="1"/>
  <c r="H14" i="6"/>
  <c r="H21" i="6" s="1"/>
  <c r="J13" i="6"/>
  <c r="P21" i="6"/>
  <c r="P29" i="6"/>
  <c r="P39" i="6" s="1"/>
  <c r="P38" i="6"/>
  <c r="C14" i="6"/>
  <c r="C19" i="6" s="1"/>
  <c r="P19" i="6" l="1"/>
  <c r="O23" i="6"/>
  <c r="P20" i="6"/>
  <c r="Q28" i="6"/>
  <c r="Q38" i="6" s="1"/>
  <c r="Q29" i="6"/>
  <c r="Q39" i="6" s="1"/>
  <c r="O19" i="6"/>
  <c r="O29" i="6"/>
  <c r="O39" i="6" s="1"/>
  <c r="H19" i="6"/>
  <c r="H26" i="6"/>
  <c r="H34" i="6" s="1"/>
  <c r="H18" i="6"/>
  <c r="H25" i="6"/>
  <c r="H33" i="6" s="1"/>
  <c r="J19" i="6"/>
  <c r="J26" i="6"/>
  <c r="J34" i="6" s="1"/>
  <c r="I34" i="6"/>
  <c r="I18" i="6"/>
  <c r="I25" i="6"/>
  <c r="I33" i="6" s="1"/>
  <c r="B18" i="6"/>
  <c r="B22" i="6" s="1"/>
  <c r="J18" i="6"/>
  <c r="J25" i="6"/>
  <c r="J33" i="6" s="1"/>
  <c r="Q37" i="6"/>
  <c r="B21" i="6"/>
  <c r="B27" i="5"/>
  <c r="B28" i="5"/>
  <c r="C27" i="5"/>
  <c r="C28" i="5"/>
  <c r="B12" i="5"/>
  <c r="B13" i="5"/>
  <c r="B14" i="5"/>
  <c r="B11" i="5"/>
  <c r="O24" i="6" l="1"/>
  <c r="H22" i="6"/>
  <c r="B30" i="5"/>
  <c r="B31" i="5" s="1"/>
  <c r="C30" i="5"/>
  <c r="C31" i="5" s="1"/>
  <c r="B15" i="5"/>
  <c r="C15" i="5" s="1"/>
  <c r="B17" i="5" l="1"/>
  <c r="E17" i="5" s="1"/>
  <c r="B24" i="5" l="1"/>
  <c r="B18" i="5"/>
  <c r="B19" i="5" s="1"/>
  <c r="E19" i="5" l="1"/>
  <c r="F19" i="5"/>
  <c r="B22" i="5" s="1"/>
</calcChain>
</file>

<file path=xl/sharedStrings.xml><?xml version="1.0" encoding="utf-8"?>
<sst xmlns="http://schemas.openxmlformats.org/spreadsheetml/2006/main" count="160" uniqueCount="82">
  <si>
    <t>Ｎ</t>
    <phoneticPr fontId="1"/>
  </si>
  <si>
    <t>SD</t>
    <phoneticPr fontId="1"/>
  </si>
  <si>
    <t>Group1</t>
    <phoneticPr fontId="1"/>
  </si>
  <si>
    <t>Group2</t>
    <phoneticPr fontId="1"/>
  </si>
  <si>
    <t>t</t>
    <phoneticPr fontId="1"/>
  </si>
  <si>
    <t>p</t>
    <phoneticPr fontId="1"/>
  </si>
  <si>
    <t>両側検定</t>
    <rPh sb="0" eb="2">
      <t>リョウガワ</t>
    </rPh>
    <rPh sb="2" eb="4">
      <t>ケンテイ</t>
    </rPh>
    <phoneticPr fontId="1"/>
  </si>
  <si>
    <t>F</t>
    <phoneticPr fontId="1"/>
  </si>
  <si>
    <t>⇒分子</t>
    <rPh sb="1" eb="3">
      <t>ブンシ</t>
    </rPh>
    <phoneticPr fontId="1"/>
  </si>
  <si>
    <t>⇒自由度(df)</t>
    <rPh sb="1" eb="4">
      <t>ジユウド</t>
    </rPh>
    <phoneticPr fontId="1"/>
  </si>
  <si>
    <t>by M.Kishi</t>
    <phoneticPr fontId="1"/>
  </si>
  <si>
    <t>平均値</t>
    <rPh sb="0" eb="3">
      <t>ヘイキンチ</t>
    </rPh>
    <phoneticPr fontId="1"/>
  </si>
  <si>
    <t>※片側検定ならセルの数値を２で割る</t>
    <rPh sb="1" eb="3">
      <t>カタガワ</t>
    </rPh>
    <rPh sb="3" eb="5">
      <t>ケンテイ</t>
    </rPh>
    <rPh sb="10" eb="12">
      <t>スウチ</t>
    </rPh>
    <rPh sb="15" eb="16">
      <t>ワ</t>
    </rPh>
    <phoneticPr fontId="1"/>
  </si>
  <si>
    <r>
      <t>効果量(</t>
    </r>
    <r>
      <rPr>
        <b/>
        <i/>
        <sz val="12"/>
        <rFont val="ＭＳ Ｐゴシック"/>
        <family val="3"/>
        <charset val="128"/>
      </rPr>
      <t>ES</t>
    </r>
    <r>
      <rPr>
        <b/>
        <sz val="12"/>
        <rFont val="ＭＳ Ｐゴシック"/>
        <family val="3"/>
        <charset val="128"/>
      </rPr>
      <t>)</t>
    </r>
    <rPh sb="0" eb="3">
      <t>コウカリョウ</t>
    </rPh>
    <phoneticPr fontId="1"/>
  </si>
  <si>
    <r>
      <rPr>
        <b/>
        <i/>
        <sz val="14"/>
        <color theme="0"/>
        <rFont val="ＭＳ Ｐゴシック"/>
        <family val="3"/>
        <charset val="128"/>
      </rPr>
      <t>N</t>
    </r>
    <r>
      <rPr>
        <b/>
        <sz val="14"/>
        <color theme="0"/>
        <rFont val="ＭＳ Ｐゴシック"/>
        <family val="3"/>
        <charset val="128"/>
      </rPr>
      <t>と平均と</t>
    </r>
    <r>
      <rPr>
        <b/>
        <i/>
        <sz val="14"/>
        <color theme="0"/>
        <rFont val="ＭＳ Ｐゴシック"/>
        <family val="3"/>
        <charset val="128"/>
      </rPr>
      <t>SD</t>
    </r>
    <r>
      <rPr>
        <b/>
        <sz val="14"/>
        <color theme="0"/>
        <rFont val="ＭＳ Ｐゴシック"/>
        <family val="3"/>
        <charset val="128"/>
      </rPr>
      <t xml:space="preserve">が分かっているときの
</t>
    </r>
    <r>
      <rPr>
        <b/>
        <i/>
        <sz val="14"/>
        <color theme="0"/>
        <rFont val="ＭＳ Ｐゴシック"/>
        <family val="3"/>
        <charset val="128"/>
      </rPr>
      <t xml:space="preserve">t </t>
    </r>
    <r>
      <rPr>
        <b/>
        <sz val="14"/>
        <color theme="0"/>
        <rFont val="ＭＳ Ｐゴシック"/>
        <family val="3"/>
        <charset val="128"/>
      </rPr>
      <t>検定・</t>
    </r>
    <r>
      <rPr>
        <b/>
        <i/>
        <sz val="14"/>
        <color theme="0"/>
        <rFont val="ＭＳ Ｐゴシック"/>
        <family val="3"/>
        <charset val="128"/>
      </rPr>
      <t>F</t>
    </r>
    <r>
      <rPr>
        <b/>
        <sz val="14"/>
        <color theme="0"/>
        <rFont val="ＭＳ Ｐゴシック"/>
        <family val="3"/>
        <charset val="128"/>
      </rPr>
      <t>検定・効果量(</t>
    </r>
    <r>
      <rPr>
        <b/>
        <i/>
        <sz val="14"/>
        <color theme="0"/>
        <rFont val="ＭＳ Ｐゴシック"/>
        <family val="3"/>
        <charset val="128"/>
      </rPr>
      <t>ES</t>
    </r>
    <r>
      <rPr>
        <b/>
        <sz val="14"/>
        <color theme="0"/>
        <rFont val="ＭＳ Ｐゴシック"/>
        <family val="3"/>
        <charset val="128"/>
      </rPr>
      <t>)</t>
    </r>
    <rPh sb="2" eb="4">
      <t>ヘイキン</t>
    </rPh>
    <rPh sb="8" eb="9">
      <t>ワ</t>
    </rPh>
    <rPh sb="20" eb="22">
      <t>ケンテイ</t>
    </rPh>
    <rPh sb="24" eb="26">
      <t>ケンテイ</t>
    </rPh>
    <rPh sb="27" eb="30">
      <t>コウカリョウ</t>
    </rPh>
    <phoneticPr fontId="1"/>
  </si>
  <si>
    <r>
      <t>abs(</t>
    </r>
    <r>
      <rPr>
        <b/>
        <i/>
        <sz val="12"/>
        <rFont val="ＭＳ Ｐゴシック"/>
        <family val="3"/>
        <charset val="128"/>
      </rPr>
      <t>t</t>
    </r>
    <r>
      <rPr>
        <b/>
        <sz val="12"/>
        <rFont val="ＭＳ Ｐゴシック"/>
        <family val="3"/>
        <charset val="128"/>
      </rPr>
      <t>)</t>
    </r>
    <phoneticPr fontId="1"/>
  </si>
  <si>
    <t>確率(p)</t>
    <rPh sb="0" eb="2">
      <t>カクリツ</t>
    </rPh>
    <phoneticPr fontId="1"/>
  </si>
  <si>
    <r>
      <rPr>
        <b/>
        <i/>
        <sz val="14"/>
        <rFont val="ＭＳ Ｐゴシック"/>
        <family val="3"/>
        <charset val="128"/>
      </rPr>
      <t>F</t>
    </r>
    <r>
      <rPr>
        <b/>
        <sz val="14"/>
        <rFont val="ＭＳ Ｐゴシック"/>
        <family val="3"/>
        <charset val="128"/>
      </rPr>
      <t>検定</t>
    </r>
    <rPh sb="1" eb="3">
      <t>ケンテイ</t>
    </rPh>
    <phoneticPr fontId="1"/>
  </si>
  <si>
    <r>
      <rPr>
        <b/>
        <i/>
        <sz val="14"/>
        <rFont val="ＭＳ Ｐゴシック"/>
        <family val="3"/>
        <charset val="128"/>
      </rPr>
      <t xml:space="preserve">ｔ </t>
    </r>
    <r>
      <rPr>
        <b/>
        <sz val="14"/>
        <rFont val="ＭＳ Ｐゴシック"/>
        <family val="3"/>
        <charset val="128"/>
      </rPr>
      <t>検定</t>
    </r>
    <rPh sb="2" eb="4">
      <t>ケンテイ</t>
    </rPh>
    <phoneticPr fontId="1"/>
  </si>
  <si>
    <t>⇐　Group１</t>
    <phoneticPr fontId="1"/>
  </si>
  <si>
    <t>⇐　Group2</t>
    <phoneticPr fontId="1"/>
  </si>
  <si>
    <t>書き方</t>
    <rPh sb="0" eb="1">
      <t>カ</t>
    </rPh>
    <rPh sb="2" eb="3">
      <t>カタ</t>
    </rPh>
    <phoneticPr fontId="1"/>
  </si>
  <si>
    <t>＊Fの値は左右を比べて,１より大きい方の欄を選ぶ</t>
    <rPh sb="3" eb="4">
      <t>アタイ</t>
    </rPh>
    <rPh sb="5" eb="7">
      <t>サユウ</t>
    </rPh>
    <rPh sb="8" eb="9">
      <t>クラ</t>
    </rPh>
    <rPh sb="15" eb="16">
      <t>オオ</t>
    </rPh>
    <rPh sb="18" eb="19">
      <t>ホウ</t>
    </rPh>
    <rPh sb="20" eb="21">
      <t>ラン</t>
    </rPh>
    <rPh sb="22" eb="23">
      <t>エラ</t>
    </rPh>
    <phoneticPr fontId="1"/>
  </si>
  <si>
    <t>＊該当する方の下にある確率（ｐ）を参照</t>
    <rPh sb="1" eb="3">
      <t>ガイトウ</t>
    </rPh>
    <rPh sb="5" eb="6">
      <t>ホウ</t>
    </rPh>
    <rPh sb="7" eb="8">
      <t>シタ</t>
    </rPh>
    <rPh sb="11" eb="13">
      <t>カクリツ</t>
    </rPh>
    <rPh sb="17" eb="19">
      <t>サンショウ</t>
    </rPh>
    <phoneticPr fontId="1"/>
  </si>
  <si>
    <t>※下のデータ表に計算する値を入力してください</t>
    <rPh sb="1" eb="2">
      <t>シタ</t>
    </rPh>
    <rPh sb="6" eb="7">
      <t>ヒョウ</t>
    </rPh>
    <rPh sb="8" eb="10">
      <t>ケイサン</t>
    </rPh>
    <rPh sb="12" eb="13">
      <t>アタイ</t>
    </rPh>
    <rPh sb="14" eb="16">
      <t>ニュウリョク</t>
    </rPh>
    <phoneticPr fontId="1"/>
  </si>
  <si>
    <t>該当する集計表のセルにNの数を入力してください</t>
    <rPh sb="0" eb="2">
      <t>ガイトウ</t>
    </rPh>
    <rPh sb="4" eb="6">
      <t>シュウケイ</t>
    </rPh>
    <rPh sb="6" eb="7">
      <t>ヒョウ</t>
    </rPh>
    <rPh sb="13" eb="14">
      <t>カズ</t>
    </rPh>
    <rPh sb="15" eb="17">
      <t>ニュウリョク</t>
    </rPh>
    <phoneticPr fontId="1"/>
  </si>
  <si>
    <t>観測度数(O)</t>
    <rPh sb="0" eb="2">
      <t>カンソク</t>
    </rPh>
    <rPh sb="2" eb="4">
      <t>ドスウ</t>
    </rPh>
    <phoneticPr fontId="1"/>
  </si>
  <si>
    <t>列１</t>
    <rPh sb="0" eb="1">
      <t>レツ</t>
    </rPh>
    <phoneticPr fontId="1"/>
  </si>
  <si>
    <t>列２</t>
    <rPh sb="0" eb="1">
      <t>レツ</t>
    </rPh>
    <phoneticPr fontId="1"/>
  </si>
  <si>
    <t>列３</t>
    <rPh sb="0" eb="1">
      <t>レツ</t>
    </rPh>
    <phoneticPr fontId="1"/>
  </si>
  <si>
    <t>行１</t>
    <rPh sb="0" eb="1">
      <t>ギョウ</t>
    </rPh>
    <phoneticPr fontId="1"/>
  </si>
  <si>
    <t>行２</t>
    <rPh sb="0" eb="1">
      <t>ギョウ</t>
    </rPh>
    <phoneticPr fontId="1"/>
  </si>
  <si>
    <t>行３</t>
    <rPh sb="0" eb="1">
      <t>ギョウ</t>
    </rPh>
    <phoneticPr fontId="1"/>
  </si>
  <si>
    <t>期待度数(E)</t>
    <rPh sb="0" eb="2">
      <t>キタイ</t>
    </rPh>
    <rPh sb="2" eb="4">
      <t>ドスウ</t>
    </rPh>
    <phoneticPr fontId="1"/>
  </si>
  <si>
    <t>計算途中</t>
    <rPh sb="0" eb="2">
      <t>ケイサン</t>
    </rPh>
    <rPh sb="2" eb="4">
      <t>トチュウ</t>
    </rPh>
    <phoneticPr fontId="1"/>
  </si>
  <si>
    <t>確率（ｐ）</t>
    <rPh sb="0" eb="2">
      <t>カクリツ</t>
    </rPh>
    <phoneticPr fontId="1"/>
  </si>
  <si>
    <r>
      <t>χ</t>
    </r>
    <r>
      <rPr>
        <b/>
        <vertAlign val="superscript"/>
        <sz val="14"/>
        <rFont val="ＭＳ Ｐゴシック"/>
        <family val="3"/>
        <charset val="128"/>
      </rPr>
      <t>2</t>
    </r>
    <r>
      <rPr>
        <b/>
        <sz val="14"/>
        <rFont val="ＭＳ Ｐゴシック"/>
        <family val="3"/>
        <charset val="128"/>
      </rPr>
      <t>の値</t>
    </r>
    <rPh sb="3" eb="4">
      <t>アタイ</t>
    </rPh>
    <phoneticPr fontId="1"/>
  </si>
  <si>
    <r>
      <t>　クロス集計ができあがったあとでのχ</t>
    </r>
    <r>
      <rPr>
        <b/>
        <vertAlign val="superscript"/>
        <sz val="14"/>
        <color theme="0"/>
        <rFont val="ＭＳ Ｐゴシック"/>
        <family val="3"/>
        <charset val="128"/>
      </rPr>
      <t>2</t>
    </r>
    <r>
      <rPr>
        <b/>
        <sz val="14"/>
        <color theme="0"/>
        <rFont val="ＭＳ Ｐゴシック"/>
        <family val="3"/>
        <charset val="128"/>
      </rPr>
      <t>検定と残差分析　</t>
    </r>
    <rPh sb="4" eb="6">
      <t>シュウケイ</t>
    </rPh>
    <rPh sb="19" eb="21">
      <t>ケンテイ</t>
    </rPh>
    <rPh sb="22" eb="24">
      <t>ザンサ</t>
    </rPh>
    <rPh sb="24" eb="26">
      <t>ブンセキ</t>
    </rPh>
    <phoneticPr fontId="1"/>
  </si>
  <si>
    <t>残差分析の計算</t>
    <rPh sb="0" eb="2">
      <t>ザンサ</t>
    </rPh>
    <rPh sb="2" eb="4">
      <t>ブンセキ</t>
    </rPh>
    <rPh sb="5" eb="7">
      <t>ケイサン</t>
    </rPh>
    <phoneticPr fontId="1"/>
  </si>
  <si>
    <t>自由度(df)＝２</t>
    <rPh sb="0" eb="3">
      <t>ジユウド</t>
    </rPh>
    <phoneticPr fontId="1"/>
  </si>
  <si>
    <t>自由度(df)=４</t>
    <rPh sb="0" eb="3">
      <t>ジユウド</t>
    </rPh>
    <phoneticPr fontId="1"/>
  </si>
  <si>
    <t>自由度(df)=1</t>
    <rPh sb="0" eb="3">
      <t>ジユウド</t>
    </rPh>
    <phoneticPr fontId="1"/>
  </si>
  <si>
    <t>標準化された残差</t>
    <rPh sb="0" eb="3">
      <t>ヒョウジュンカ</t>
    </rPh>
    <rPh sb="6" eb="8">
      <t>ザンサ</t>
    </rPh>
    <phoneticPr fontId="1"/>
  </si>
  <si>
    <t>標準化された残差の分散</t>
    <rPh sb="0" eb="3">
      <t>ヒョウジュンカ</t>
    </rPh>
    <rPh sb="6" eb="8">
      <t>ザンサ</t>
    </rPh>
    <rPh sb="9" eb="11">
      <t>ブンサン</t>
    </rPh>
    <phoneticPr fontId="1"/>
  </si>
  <si>
    <t>調整された残差</t>
    <rPh sb="0" eb="2">
      <t>チョウセイ</t>
    </rPh>
    <rPh sb="5" eb="7">
      <t>ザンサ</t>
    </rPh>
    <phoneticPr fontId="1"/>
  </si>
  <si>
    <t>※それらは、「予想より大きい（マイナスなら小さい）」ことを示す</t>
    <rPh sb="7" eb="9">
      <t>ヨソウ</t>
    </rPh>
    <rPh sb="11" eb="12">
      <t>オオ</t>
    </rPh>
    <rPh sb="21" eb="22">
      <t>チイ</t>
    </rPh>
    <rPh sb="29" eb="30">
      <t>シメ</t>
    </rPh>
    <phoneticPr fontId="1"/>
  </si>
  <si>
    <t>※調整された残差の結果で、絶対値が1.96以上のものをチェック</t>
    <rPh sb="1" eb="3">
      <t>チョウセイ</t>
    </rPh>
    <rPh sb="6" eb="8">
      <t>ザンサ</t>
    </rPh>
    <rPh sb="9" eb="11">
      <t>ケッカ</t>
    </rPh>
    <rPh sb="13" eb="16">
      <t>ゼッタイチ</t>
    </rPh>
    <rPh sb="21" eb="23">
      <t>イジョウ</t>
    </rPh>
    <phoneticPr fontId="1"/>
  </si>
  <si>
    <t>タイトル＝</t>
    <phoneticPr fontId="1"/>
  </si>
  <si>
    <t>場面の合成</t>
    <rPh sb="0" eb="2">
      <t>バメン</t>
    </rPh>
    <rPh sb="3" eb="5">
      <t>ゴウセイ</t>
    </rPh>
    <phoneticPr fontId="1"/>
  </si>
  <si>
    <t xml:space="preserve"> </t>
    <phoneticPr fontId="1"/>
  </si>
  <si>
    <t>学年＝</t>
    <rPh sb="0" eb="2">
      <t>ガクネン</t>
    </rPh>
    <phoneticPr fontId="1"/>
  </si>
  <si>
    <t>n</t>
    <phoneticPr fontId="1"/>
  </si>
  <si>
    <t>siguma</t>
    <phoneticPr fontId="1"/>
  </si>
  <si>
    <t>男性（％）</t>
    <rPh sb="0" eb="2">
      <t>ダンセイ</t>
    </rPh>
    <phoneticPr fontId="1"/>
  </si>
  <si>
    <t>女性（％）</t>
    <rPh sb="0" eb="2">
      <t>ジョセイ</t>
    </rPh>
    <phoneticPr fontId="1"/>
  </si>
  <si>
    <t>日本</t>
    <rPh sb="0" eb="2">
      <t>ニホン</t>
    </rPh>
    <phoneticPr fontId="1"/>
  </si>
  <si>
    <t>英国</t>
    <rPh sb="0" eb="2">
      <t>エイコク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</si>
  <si>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</si>
  <si>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</si>
  <si>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非加重平均</t>
    <rPh sb="0" eb="1">
      <t>ヒ</t>
    </rPh>
    <rPh sb="1" eb="3">
      <t>カジュウ</t>
    </rPh>
    <rPh sb="3" eb="5">
      <t>ヘイキン</t>
    </rPh>
    <phoneticPr fontId="1"/>
  </si>
  <si>
    <t>合計＝</t>
    <rPh sb="0" eb="2">
      <t>ゴウケイ</t>
    </rPh>
    <phoneticPr fontId="1"/>
  </si>
  <si>
    <t>ＳＳt</t>
    <phoneticPr fontId="1"/>
  </si>
  <si>
    <t>Ｓｓa</t>
    <phoneticPr fontId="1"/>
  </si>
  <si>
    <t>ＳＳb</t>
    <phoneticPr fontId="1"/>
  </si>
  <si>
    <t>Ｓｓab</t>
    <phoneticPr fontId="1"/>
  </si>
  <si>
    <t>変動因</t>
    <rPh sb="0" eb="2">
      <t>ヘンドウ</t>
    </rPh>
    <rPh sb="2" eb="3">
      <t>イン</t>
    </rPh>
    <phoneticPr fontId="1"/>
  </si>
  <si>
    <t>ＳＳ</t>
    <phoneticPr fontId="1"/>
  </si>
  <si>
    <t>ｄｆ</t>
    <phoneticPr fontId="1"/>
  </si>
  <si>
    <t>χ2</t>
    <phoneticPr fontId="1"/>
  </si>
  <si>
    <t>日本・英国</t>
    <rPh sb="0" eb="2">
      <t>ニホン</t>
    </rPh>
    <rPh sb="3" eb="5">
      <t>エイコク</t>
    </rPh>
    <phoneticPr fontId="1"/>
  </si>
  <si>
    <t>男性・女性</t>
    <rPh sb="0" eb="2">
      <t>ダンセイ</t>
    </rPh>
    <rPh sb="3" eb="5">
      <t>ジョセイ</t>
    </rPh>
    <phoneticPr fontId="1"/>
  </si>
  <si>
    <t>交互作用</t>
    <rPh sb="0" eb="2">
      <t>コウゴ</t>
    </rPh>
    <rPh sb="2" eb="4">
      <t>サヨウ</t>
    </rPh>
    <phoneticPr fontId="1"/>
  </si>
  <si>
    <t>群内分散</t>
    <rPh sb="0" eb="1">
      <t>グン</t>
    </rPh>
    <rPh sb="1" eb="2">
      <t>ナイ</t>
    </rPh>
    <rPh sb="2" eb="4">
      <t>ブンサン</t>
    </rPh>
    <phoneticPr fontId="1"/>
  </si>
  <si>
    <t>オッズ比</t>
    <rPh sb="3" eb="4">
      <t>ヒ</t>
    </rPh>
    <phoneticPr fontId="1"/>
  </si>
  <si>
    <t>＊利点は列側からでも行側からでも同じ値が得られる</t>
  </si>
  <si>
    <t>＊欠点は２×２のみに対応</t>
  </si>
  <si>
    <r>
      <t>＊オッズ比は</t>
    </r>
    <r>
      <rPr>
        <sz val="12"/>
        <color rgb="FFC00000"/>
        <rFont val="ＭＳ Ｐゴシック"/>
        <family val="3"/>
        <charset val="128"/>
      </rPr>
      <t>関係の強さ</t>
    </r>
    <r>
      <rPr>
        <sz val="12"/>
        <color rgb="FF000000"/>
        <rFont val="ＭＳ Ｐゴシック"/>
        <family val="3"/>
        <charset val="128"/>
      </rPr>
      <t>の指標</t>
    </r>
    <phoneticPr fontId="1"/>
  </si>
  <si>
    <r>
      <t>＊オッズ比＝１のときは</t>
    </r>
    <r>
      <rPr>
        <sz val="12"/>
        <color rgb="FFFF0000"/>
        <rFont val="ＭＳ Ｐゴシック"/>
        <family val="3"/>
        <charset val="128"/>
      </rPr>
      <t>無関係</t>
    </r>
    <rPh sb="4" eb="5">
      <t>ヒ</t>
    </rPh>
    <rPh sb="11" eb="14">
      <t>ムカンケイ</t>
    </rPh>
    <phoneticPr fontId="1"/>
  </si>
  <si>
    <t>オッズ比の95％信頼区間</t>
    <rPh sb="3" eb="4">
      <t>ヒ</t>
    </rPh>
    <rPh sb="8" eb="10">
      <t>シンライ</t>
    </rPh>
    <rPh sb="10" eb="12">
      <t>クカン</t>
    </rPh>
    <phoneticPr fontId="1"/>
  </si>
  <si>
    <t>下側</t>
    <rPh sb="0" eb="2">
      <t>シタガワ</t>
    </rPh>
    <phoneticPr fontId="1"/>
  </si>
  <si>
    <t>上側</t>
    <rPh sb="0" eb="2">
      <t>ウエガワ</t>
    </rPh>
    <phoneticPr fontId="1"/>
  </si>
  <si>
    <r>
      <t>　　</t>
    </r>
    <r>
      <rPr>
        <sz val="12"/>
        <color rgb="FF000000"/>
        <rFont val="ＭＳ Ｐゴシック"/>
        <family val="1"/>
        <charset val="128"/>
      </rPr>
      <t>0≦オッズ比≦∞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</si>
</sst>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00_ "/>
    <numFmt numFmtId="177" formatCode="0.0000_ "/>
    <numFmt numFmtId="185" formatCode="0.00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i/>
      <sz val="14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2"/>
      <color theme="8" tint="-0.249977111117893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2"/>
      <color theme="8" tint="0.59999389629810485"/>
      <name val="ＭＳ Ｐゴシック"/>
      <family val="3"/>
      <charset val="128"/>
    </font>
    <font>
      <b/>
      <i/>
      <sz val="12"/>
      <color theme="8" tint="0.59999389629810485"/>
      <name val="ＭＳ Ｐゴシック"/>
      <family val="3"/>
      <charset val="128"/>
    </font>
    <font>
      <b/>
      <vertAlign val="superscript"/>
      <sz val="14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color theme="1"/>
      <name val="Meiryo UI"/>
      <family val="3"/>
      <charset val="128"/>
    </font>
    <font>
      <b/>
      <vertAlign val="superscript"/>
      <sz val="14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2"/>
      <color rgb="FF000000"/>
      <name val="ＭＳ Ｐゴシック"/>
      <family val="1"/>
      <charset val="128"/>
    </font>
    <font>
      <sz val="12"/>
      <color rgb="FFFF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0" fontId="3" fillId="0" borderId="0" xfId="0" applyFont="1" applyAlignment="1">
      <alignment horizontal="right" vertical="center"/>
    </xf>
    <xf numFmtId="11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5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176" fontId="3" fillId="3" borderId="1" xfId="0" applyNumberFormat="1" applyFont="1" applyFill="1" applyBorder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/>
    <xf numFmtId="0" fontId="17" fillId="8" borderId="1" xfId="1" applyFont="1" applyFill="1" applyBorder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7" fontId="2" fillId="7" borderId="1" xfId="0" applyNumberFormat="1" applyFont="1" applyFill="1" applyBorder="1"/>
    <xf numFmtId="177" fontId="2" fillId="8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/>
    <xf numFmtId="0" fontId="2" fillId="0" borderId="0" xfId="0" applyFont="1" applyAlignment="1">
      <alignment vertical="center" shrinkToFit="1"/>
    </xf>
    <xf numFmtId="0" fontId="2" fillId="3" borderId="1" xfId="0" applyFont="1" applyFill="1" applyBorder="1"/>
    <xf numFmtId="177" fontId="2" fillId="3" borderId="1" xfId="0" applyNumberFormat="1" applyFont="1" applyFill="1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19" fillId="3" borderId="1" xfId="0" applyFont="1" applyFill="1" applyBorder="1"/>
    <xf numFmtId="0" fontId="5" fillId="4" borderId="0" xfId="0" applyFont="1" applyFill="1" applyAlignment="1">
      <alignment horizontal="center" vertical="top" wrapText="1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185" fontId="2" fillId="0" borderId="0" xfId="0" applyNumberFormat="1" applyFont="1"/>
    <xf numFmtId="185" fontId="2" fillId="3" borderId="0" xfId="0" applyNumberFormat="1" applyFont="1" applyFill="1"/>
    <xf numFmtId="0" fontId="2" fillId="3" borderId="0" xfId="0" applyFont="1" applyFill="1"/>
    <xf numFmtId="0" fontId="24" fillId="0" borderId="0" xfId="0" applyFont="1"/>
  </cellXfs>
  <cellStyles count="2">
    <cellStyle name="標準" xfId="0" builtinId="0"/>
    <cellStyle name="標準 3 2" xfId="1" xr:uid="{084E3EAE-6E62-48D6-BDCA-0548FED81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170180</xdr:colOff>
      <xdr:row>3</xdr:row>
      <xdr:rowOff>7983</xdr:rowOff>
    </xdr:from>
    <xdr:to>
      <xdr:col>4</xdr:col>
      <xdr:colOff>45720</xdr:colOff>
      <xdr:row>4</xdr:row>
      <xdr:rowOff>175442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A85C7FE-8534-4BCA-9448-F3611919DA83}"/>
            </a:ext>
          </a:extLst>
        </xdr:cNvPr>
        <xdr:cNvSpPr/>
      </xdr:nvSpPr>
      <xdr:spPr>
        <a:xfrm>
          <a:off x="170180" y="724263"/>
          <a:ext cx="2893060" cy="38081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accent1">
                  <a:lumMod val="75000"/>
                </a:schemeClr>
              </a:solidFill>
            </a:rPr>
            <a:t>２行</a:t>
          </a:r>
          <a:r>
            <a:rPr kumimoji="1" lang="en-US" altLang="ja-JP" sz="1600" b="1">
              <a:solidFill>
                <a:schemeClr val="accent1">
                  <a:lumMod val="75000"/>
                </a:schemeClr>
              </a:solidFill>
            </a:rPr>
            <a:t>×</a:t>
          </a:r>
          <a:r>
            <a:rPr kumimoji="1" lang="ja-JP" altLang="en-US" sz="1600" b="1">
              <a:solidFill>
                <a:schemeClr val="accent1">
                  <a:lumMod val="75000"/>
                </a:schemeClr>
              </a:solidFill>
            </a:rPr>
            <a:t>２列（オッズ比あり）</a:t>
          </a:r>
          <a:endParaRPr kumimoji="1" lang="en-US" altLang="ja-JP" sz="1600" b="1">
            <a:solidFill>
              <a:schemeClr val="accent1">
                <a:lumMod val="7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562610</xdr:colOff>
      <xdr:row>3</xdr:row>
      <xdr:rowOff>23949</xdr:rowOff>
    </xdr:from>
    <xdr:to>
      <xdr:col>11</xdr:col>
      <xdr:colOff>38100</xdr:colOff>
      <xdr:row>4</xdr:row>
      <xdr:rowOff>182518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3D6475F-8A7B-44D6-AAAD-AF34EA690EF3}"/>
            </a:ext>
          </a:extLst>
        </xdr:cNvPr>
        <xdr:cNvSpPr/>
      </xdr:nvSpPr>
      <xdr:spPr>
        <a:xfrm>
          <a:off x="4189730" y="740229"/>
          <a:ext cx="3666490" cy="3719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２行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×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３列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13</xdr:col>
      <xdr:colOff>38100</xdr:colOff>
      <xdr:row>3</xdr:row>
      <xdr:rowOff>23949</xdr:rowOff>
    </xdr:from>
    <xdr:to>
      <xdr:col>17</xdr:col>
      <xdr:colOff>220980</xdr:colOff>
      <xdr:row>4</xdr:row>
      <xdr:rowOff>182518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F87712F-FC82-4613-9B96-FEF87FFC25AC}"/>
            </a:ext>
          </a:extLst>
        </xdr:cNvPr>
        <xdr:cNvSpPr/>
      </xdr:nvSpPr>
      <xdr:spPr>
        <a:xfrm>
          <a:off x="9075420" y="740229"/>
          <a:ext cx="3055620" cy="37192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３行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×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３列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508000</xdr:colOff>
      <xdr:row>37</xdr:row>
      <xdr:rowOff>166370</xdr:rowOff>
    </xdr:from>
    <xdr:to>
      <xdr:col>10</xdr:col>
      <xdr:colOff>572770</xdr:colOff>
      <xdr:row>45</xdr:row>
      <xdr:rowOff>8890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64C3FB-D6FD-BE22-8542-DC4E122F962A}"/>
            </a:ext>
          </a:extLst>
        </xdr:cNvPr>
        <xdr:cNvSpPr txBox="1"/>
      </xdr:nvSpPr>
      <xdr:spPr>
        <a:xfrm>
          <a:off x="4743450" y="8116570"/>
          <a:ext cx="3036570" cy="15189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＜残差分析＞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@</a:t>
          </a:r>
          <a:r>
            <a:rPr kumimoji="1" lang="ja-JP" altLang="en-US" sz="1100"/>
            <a:t> </a:t>
          </a:r>
          <a:r>
            <a:rPr kumimoji="1" lang="en-US" altLang="ja-JP" sz="1100"/>
            <a:t>Everitt,B.S.  1977 The analysis of contingency tables, Chapman &amp; Hall, </a:t>
          </a:r>
        </a:p>
        <a:p>
          <a:endParaRPr kumimoji="1" lang="en-US" altLang="ja-JP" sz="1100"/>
        </a:p>
        <a:p>
          <a:r>
            <a:rPr kumimoji="1" lang="en-US" altLang="ja-JP" sz="1100"/>
            <a:t>@</a:t>
          </a:r>
          <a:r>
            <a:rPr kumimoji="1" lang="ja-JP" altLang="en-US" sz="1100"/>
            <a:t>エヴェリット</a:t>
          </a:r>
          <a:r>
            <a:rPr kumimoji="1" lang="en-US" altLang="ja-JP" sz="1100"/>
            <a:t>,B.S. </a:t>
          </a:r>
          <a:r>
            <a:rPr kumimoji="1" lang="ja-JP" altLang="en-US" sz="1100"/>
            <a:t>山内光哉（監訳）</a:t>
          </a:r>
          <a:r>
            <a:rPr kumimoji="1" lang="en-US" altLang="ja-JP" sz="1100"/>
            <a:t>(1980) </a:t>
          </a:r>
          <a:r>
            <a:rPr kumimoji="1" lang="ja-JP" altLang="en-US" sz="1100"/>
            <a:t>「質的データの解析：カイ二乗検定とその展開」 新曜社　</a:t>
          </a:r>
          <a:r>
            <a:rPr kumimoji="1" lang="en-US" altLang="ja-JP" sz="1100"/>
            <a:t>p.49</a:t>
          </a:r>
          <a:r>
            <a:rPr kumimoji="1" lang="ja-JP" altLang="en-US" sz="1100"/>
            <a:t>より</a:t>
          </a:r>
        </a:p>
      </xdr:txBody>
    </xdr:sp>
    <xdr:clientData/>
  </xdr:twoCellAnchor>
  <xdr:twoCellAnchor>
    <xdr:from>
      <xdr:col>0</xdr:col>
      <xdr:colOff>82550</xdr:colOff>
      <xdr:row>39</xdr:row>
      <xdr:rowOff>88900</xdr:rowOff>
    </xdr:from>
    <xdr:to>
      <xdr:col>3</xdr:col>
      <xdr:colOff>419100</xdr:colOff>
      <xdr:row>44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35293A5-3690-623E-F220-7B88278D8D70}"/>
            </a:ext>
          </a:extLst>
        </xdr:cNvPr>
        <xdr:cNvSpPr txBox="1"/>
      </xdr:nvSpPr>
      <xdr:spPr>
        <a:xfrm>
          <a:off x="82550" y="8458200"/>
          <a:ext cx="2743200" cy="10731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＊この区間に１が含まれていれば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「無関係」</a:t>
          </a:r>
          <a:endParaRPr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＊１が含まれていないければ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「無関係では無い」「関係がありそうだ」</a:t>
          </a:r>
          <a:endParaRPr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と判断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opLeftCell="A7" workbookViewId="0">
      <selection activeCell="E17" sqref="E17"/>
    </sheetView>
  </sheetViews>
  <sheetFormatPr defaultRowHeight="14" x14ac:dyDescent="0.2"/>
  <cols>
    <col min="1" max="1" width="13.26953125" style="3" customWidth="1"/>
    <col min="2" max="2" width="12.90625" style="3" customWidth="1"/>
    <col min="3" max="3" width="14.08984375" style="3" customWidth="1"/>
    <col min="4" max="4" width="8.81640625" style="3" bestFit="1" customWidth="1"/>
    <col min="5" max="5" width="8.7265625" style="3"/>
    <col min="6" max="6" width="8.81640625" style="3" bestFit="1" customWidth="1"/>
    <col min="7" max="7" width="10.6328125" style="3" bestFit="1" customWidth="1"/>
    <col min="8" max="16384" width="8.7265625" style="3"/>
  </cols>
  <sheetData>
    <row r="1" spans="1:7" ht="36.5" customHeight="1" x14ac:dyDescent="0.2">
      <c r="A1" s="37" t="s">
        <v>14</v>
      </c>
      <c r="B1" s="37"/>
      <c r="C1" s="37"/>
      <c r="D1" s="37"/>
      <c r="E1" s="37"/>
      <c r="F1" s="37"/>
    </row>
    <row r="2" spans="1:7" x14ac:dyDescent="0.2">
      <c r="E2" s="3" t="s">
        <v>10</v>
      </c>
    </row>
    <row r="4" spans="1:7" x14ac:dyDescent="0.2">
      <c r="A4" s="11" t="s">
        <v>24</v>
      </c>
    </row>
    <row r="5" spans="1:7" x14ac:dyDescent="0.2">
      <c r="A5" s="11"/>
    </row>
    <row r="6" spans="1:7" x14ac:dyDescent="0.2">
      <c r="B6" s="13" t="s">
        <v>2</v>
      </c>
      <c r="C6" s="13" t="s">
        <v>3</v>
      </c>
    </row>
    <row r="7" spans="1:7" x14ac:dyDescent="0.2">
      <c r="A7" s="4" t="s">
        <v>0</v>
      </c>
      <c r="B7" s="5">
        <v>35</v>
      </c>
      <c r="C7" s="5">
        <v>34</v>
      </c>
    </row>
    <row r="8" spans="1:7" x14ac:dyDescent="0.2">
      <c r="A8" s="4" t="s">
        <v>11</v>
      </c>
      <c r="B8" s="5">
        <v>3.85</v>
      </c>
      <c r="C8" s="5">
        <v>3.95</v>
      </c>
    </row>
    <row r="9" spans="1:7" x14ac:dyDescent="0.2">
      <c r="A9" s="4" t="s">
        <v>1</v>
      </c>
      <c r="B9" s="5">
        <v>0.86</v>
      </c>
      <c r="C9" s="5">
        <v>0.66</v>
      </c>
    </row>
    <row r="10" spans="1:7" x14ac:dyDescent="0.2">
      <c r="A10" s="4"/>
    </row>
    <row r="11" spans="1:7" ht="16.5" x14ac:dyDescent="0.25">
      <c r="A11" s="15" t="s">
        <v>18</v>
      </c>
      <c r="B11" s="6">
        <f>B8-C8</f>
        <v>-0.10000000000000009</v>
      </c>
      <c r="C11" s="3" t="s">
        <v>8</v>
      </c>
    </row>
    <row r="12" spans="1:7" x14ac:dyDescent="0.2">
      <c r="A12" s="4"/>
      <c r="B12" s="6">
        <f>(B7-1)*B9^2+(C7-1)*C9^2</f>
        <v>39.5212</v>
      </c>
    </row>
    <row r="13" spans="1:7" x14ac:dyDescent="0.2">
      <c r="A13" s="4"/>
      <c r="B13" s="6">
        <f>B7+C7-2</f>
        <v>67</v>
      </c>
      <c r="C13" s="10" t="s">
        <v>9</v>
      </c>
    </row>
    <row r="14" spans="1:7" x14ac:dyDescent="0.2">
      <c r="A14" s="4"/>
      <c r="B14" s="6">
        <f>1/B7+1/C7</f>
        <v>5.7983193277310927E-2</v>
      </c>
    </row>
    <row r="15" spans="1:7" x14ac:dyDescent="0.2">
      <c r="A15" s="4"/>
      <c r="B15" s="6">
        <f>B12/B13*B14</f>
        <v>3.4202468330615826E-2</v>
      </c>
      <c r="C15" s="3">
        <f>B15^0.5</f>
        <v>0.1849390935703315</v>
      </c>
    </row>
    <row r="16" spans="1:7" x14ac:dyDescent="0.2">
      <c r="A16" s="4"/>
      <c r="B16" s="6"/>
      <c r="G16" s="11"/>
    </row>
    <row r="17" spans="1:7" x14ac:dyDescent="0.2">
      <c r="A17" s="14" t="s">
        <v>4</v>
      </c>
      <c r="B17" s="7">
        <f>B11/SQRT(B15)</f>
        <v>-0.54071855803689517</v>
      </c>
      <c r="E17" s="16">
        <f>ROUND(B17,3)</f>
        <v>-0.54100000000000004</v>
      </c>
    </row>
    <row r="18" spans="1:7" x14ac:dyDescent="0.2">
      <c r="A18" s="4" t="s">
        <v>15</v>
      </c>
      <c r="B18" s="6">
        <f>ABS(B17)</f>
        <v>0.54071855803689517</v>
      </c>
      <c r="E18" s="16"/>
    </row>
    <row r="19" spans="1:7" x14ac:dyDescent="0.2">
      <c r="A19" s="14" t="s">
        <v>16</v>
      </c>
      <c r="B19" s="18">
        <f>TDIST(B18,B13,2)</f>
        <v>0.59049475742846402</v>
      </c>
      <c r="C19" s="3" t="s">
        <v>6</v>
      </c>
      <c r="E19" s="16">
        <f>ROUND(B19,4)</f>
        <v>0.59050000000000002</v>
      </c>
      <c r="F19" s="17" t="str">
        <f>IF(B19&gt;0.05,"n.s.",IF(B19&gt;0.01,"p&lt;0.05","p&lt;0.01"))</f>
        <v>n.s.</v>
      </c>
    </row>
    <row r="20" spans="1:7" x14ac:dyDescent="0.2">
      <c r="A20" s="4"/>
      <c r="C20" s="12" t="s">
        <v>12</v>
      </c>
    </row>
    <row r="22" spans="1:7" x14ac:dyDescent="0.2">
      <c r="A22" s="4" t="s">
        <v>21</v>
      </c>
      <c r="B22" s="38" t="str">
        <f>"t ("&amp;B13&amp;") ="&amp;E17&amp;", "&amp;F19</f>
        <v>t (67) =-0.541, n.s.</v>
      </c>
      <c r="C22" s="39"/>
      <c r="D22" s="40"/>
    </row>
    <row r="23" spans="1:7" x14ac:dyDescent="0.2">
      <c r="A23" s="4"/>
      <c r="C23" s="12"/>
    </row>
    <row r="24" spans="1:7" x14ac:dyDescent="0.2">
      <c r="A24" s="8" t="s">
        <v>13</v>
      </c>
      <c r="B24" s="6">
        <f>ABS(B17)*SQRT((B7+C7)/(B7*C7))</f>
        <v>0.13020340445077064</v>
      </c>
      <c r="C24" s="12"/>
    </row>
    <row r="25" spans="1:7" x14ac:dyDescent="0.2">
      <c r="A25" s="4"/>
    </row>
    <row r="26" spans="1:7" x14ac:dyDescent="0.2">
      <c r="A26" s="4"/>
    </row>
    <row r="27" spans="1:7" ht="16.5" x14ac:dyDescent="0.25">
      <c r="A27" s="15" t="s">
        <v>17</v>
      </c>
      <c r="B27" s="6">
        <f>B7/(B7-1)*B9*B9</f>
        <v>0.76135294117647045</v>
      </c>
      <c r="C27" s="3">
        <f>B7</f>
        <v>35</v>
      </c>
      <c r="D27" s="12" t="s">
        <v>19</v>
      </c>
      <c r="G27" s="9"/>
    </row>
    <row r="28" spans="1:7" x14ac:dyDescent="0.2">
      <c r="A28" s="4"/>
      <c r="B28" s="6">
        <f>C7/(C7-1)*C9*C9</f>
        <v>0.44880000000000003</v>
      </c>
      <c r="C28" s="3">
        <f>C7</f>
        <v>34</v>
      </c>
      <c r="D28" s="12" t="s">
        <v>20</v>
      </c>
    </row>
    <row r="29" spans="1:7" x14ac:dyDescent="0.2">
      <c r="A29" s="4"/>
    </row>
    <row r="30" spans="1:7" x14ac:dyDescent="0.2">
      <c r="A30" s="14" t="s">
        <v>7</v>
      </c>
      <c r="B30" s="7">
        <f>B27/B28</f>
        <v>1.6964192093949875</v>
      </c>
      <c r="C30" s="7">
        <f>B28/B27</f>
        <v>0.58947693734064766</v>
      </c>
    </row>
    <row r="31" spans="1:7" x14ac:dyDescent="0.2">
      <c r="A31" s="14" t="s">
        <v>16</v>
      </c>
      <c r="B31" s="18">
        <f>FDIST(B30,C27,C28)</f>
        <v>6.3197129887351988E-2</v>
      </c>
      <c r="C31" s="18">
        <f>FDIST(C30,C28,C27)</f>
        <v>0.93680287011264807</v>
      </c>
    </row>
    <row r="33" spans="2:2" x14ac:dyDescent="0.2">
      <c r="B33" s="12" t="s">
        <v>22</v>
      </c>
    </row>
    <row r="34" spans="2:2" x14ac:dyDescent="0.2">
      <c r="B34" s="12" t="s">
        <v>23</v>
      </c>
    </row>
  </sheetData>
  <mergeCells count="2">
    <mergeCell ref="A1:F1"/>
    <mergeCell ref="B22:D22"/>
  </mergeCells>
  <phoneticPr fontId="1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A1CB-3B57-4EFD-A69A-329DF8597556}">
  <sheetPr>
    <pageSetUpPr fitToPage="1"/>
  </sheetPr>
  <dimension ref="A1:R42"/>
  <sheetViews>
    <sheetView showGridLines="0" tabSelected="1" topLeftCell="A30" workbookViewId="0">
      <selection activeCell="P1" sqref="P1"/>
    </sheetView>
  </sheetViews>
  <sheetFormatPr defaultColWidth="8.7265625" defaultRowHeight="16.5" x14ac:dyDescent="0.25"/>
  <cols>
    <col min="1" max="1" width="15.1796875" style="2" customWidth="1"/>
    <col min="2" max="2" width="10.54296875" style="2" customWidth="1"/>
    <col min="3" max="6" width="8.7265625" style="2"/>
    <col min="7" max="7" width="14.7265625" style="2" customWidth="1"/>
    <col min="8" max="8" width="10.36328125" style="2" bestFit="1" customWidth="1"/>
    <col min="9" max="13" width="8.7265625" style="2"/>
    <col min="14" max="14" width="14.90625" style="2" customWidth="1"/>
    <col min="15" max="15" width="10.6328125" style="2" customWidth="1"/>
    <col min="16" max="16384" width="8.7265625" style="2"/>
  </cols>
  <sheetData>
    <row r="1" spans="1:18" ht="23" customHeight="1" x14ac:dyDescent="0.25">
      <c r="B1" s="41" t="s">
        <v>37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8" x14ac:dyDescent="0.25">
      <c r="B2" s="19"/>
      <c r="F2" s="20" t="s">
        <v>25</v>
      </c>
      <c r="K2" s="20"/>
    </row>
    <row r="4" spans="1:18" x14ac:dyDescent="0.25">
      <c r="F4" s="19"/>
    </row>
    <row r="7" spans="1:18" x14ac:dyDescent="0.25">
      <c r="A7" s="2" t="s">
        <v>26</v>
      </c>
      <c r="B7" s="21" t="s">
        <v>27</v>
      </c>
      <c r="C7" s="21" t="s">
        <v>28</v>
      </c>
      <c r="G7" s="2" t="s">
        <v>26</v>
      </c>
      <c r="H7" s="21" t="s">
        <v>27</v>
      </c>
      <c r="I7" s="21" t="s">
        <v>28</v>
      </c>
      <c r="J7" s="21" t="s">
        <v>29</v>
      </c>
      <c r="N7" s="2" t="s">
        <v>26</v>
      </c>
      <c r="O7" s="22" t="s">
        <v>27</v>
      </c>
      <c r="P7" s="22" t="s">
        <v>28</v>
      </c>
      <c r="Q7" s="22" t="s">
        <v>29</v>
      </c>
    </row>
    <row r="8" spans="1:18" ht="17.5" x14ac:dyDescent="0.35">
      <c r="A8" s="21" t="s">
        <v>30</v>
      </c>
      <c r="B8" s="23">
        <v>13</v>
      </c>
      <c r="C8" s="23">
        <v>5</v>
      </c>
      <c r="D8" s="2">
        <f>B8+C8</f>
        <v>18</v>
      </c>
      <c r="G8" s="21" t="s">
        <v>30</v>
      </c>
      <c r="H8" s="24">
        <v>8</v>
      </c>
      <c r="I8" s="24">
        <v>8</v>
      </c>
      <c r="J8" s="24">
        <v>1</v>
      </c>
      <c r="K8" s="2">
        <f>H8+I8+J8</f>
        <v>17</v>
      </c>
      <c r="N8" s="22" t="s">
        <v>30</v>
      </c>
      <c r="O8" s="36">
        <v>26</v>
      </c>
      <c r="P8" s="36">
        <v>39</v>
      </c>
      <c r="Q8" s="36">
        <v>39</v>
      </c>
      <c r="R8" s="2">
        <f>SUM(O8:Q8)</f>
        <v>104</v>
      </c>
    </row>
    <row r="9" spans="1:18" ht="17.5" x14ac:dyDescent="0.35">
      <c r="A9" s="21" t="s">
        <v>31</v>
      </c>
      <c r="B9" s="23">
        <v>4</v>
      </c>
      <c r="C9" s="23">
        <v>8</v>
      </c>
      <c r="D9" s="2">
        <f>B9+C9</f>
        <v>12</v>
      </c>
      <c r="F9" s="3"/>
      <c r="G9" s="21" t="s">
        <v>31</v>
      </c>
      <c r="H9" s="24">
        <v>2</v>
      </c>
      <c r="I9" s="24">
        <v>5</v>
      </c>
      <c r="J9" s="24">
        <v>6</v>
      </c>
      <c r="K9" s="2">
        <f>H9+I9+J9</f>
        <v>13</v>
      </c>
      <c r="N9" s="22" t="s">
        <v>31</v>
      </c>
      <c r="O9" s="36">
        <v>20</v>
      </c>
      <c r="P9" s="36">
        <v>27</v>
      </c>
      <c r="Q9" s="36">
        <v>27</v>
      </c>
      <c r="R9" s="2">
        <f t="shared" ref="R9:R10" si="0">SUM(O9:Q9)</f>
        <v>74</v>
      </c>
    </row>
    <row r="10" spans="1:18" ht="17.5" x14ac:dyDescent="0.35">
      <c r="B10" s="2">
        <f>B8+B9</f>
        <v>17</v>
      </c>
      <c r="C10" s="2">
        <f>C8+C9</f>
        <v>13</v>
      </c>
      <c r="D10" s="2">
        <f>D8+D9</f>
        <v>30</v>
      </c>
      <c r="H10" s="2">
        <f>H8+H9</f>
        <v>10</v>
      </c>
      <c r="I10" s="2">
        <f>I8+I9</f>
        <v>13</v>
      </c>
      <c r="J10" s="2">
        <f>J8+J9</f>
        <v>7</v>
      </c>
      <c r="K10" s="2">
        <f>K8+K9</f>
        <v>30</v>
      </c>
      <c r="N10" s="22" t="s">
        <v>32</v>
      </c>
      <c r="O10" s="36">
        <v>195</v>
      </c>
      <c r="P10" s="36">
        <v>93</v>
      </c>
      <c r="Q10" s="36">
        <v>34</v>
      </c>
      <c r="R10" s="2">
        <f t="shared" si="0"/>
        <v>322</v>
      </c>
    </row>
    <row r="11" spans="1:18" x14ac:dyDescent="0.25">
      <c r="O11" s="2">
        <f>SUM(O8:O10)</f>
        <v>241</v>
      </c>
      <c r="P11" s="2">
        <f t="shared" ref="P11:R11" si="1">SUM(P8:P10)</f>
        <v>159</v>
      </c>
      <c r="Q11" s="2">
        <f t="shared" si="1"/>
        <v>100</v>
      </c>
      <c r="R11" s="2">
        <f t="shared" si="1"/>
        <v>500</v>
      </c>
    </row>
    <row r="12" spans="1:18" x14ac:dyDescent="0.25">
      <c r="A12" s="2" t="s">
        <v>33</v>
      </c>
      <c r="B12" s="21" t="s">
        <v>27</v>
      </c>
      <c r="C12" s="21" t="s">
        <v>28</v>
      </c>
      <c r="G12" s="2" t="s">
        <v>33</v>
      </c>
      <c r="H12" s="21" t="s">
        <v>27</v>
      </c>
      <c r="I12" s="21" t="s">
        <v>28</v>
      </c>
      <c r="J12" s="21" t="s">
        <v>29</v>
      </c>
    </row>
    <row r="13" spans="1:18" x14ac:dyDescent="0.25">
      <c r="A13" s="21" t="s">
        <v>30</v>
      </c>
      <c r="B13" s="25">
        <f>B15*D13/D15</f>
        <v>10.199999999999999</v>
      </c>
      <c r="C13" s="25">
        <f>D13-B13</f>
        <v>7.8000000000000007</v>
      </c>
      <c r="D13" s="2">
        <f>D8</f>
        <v>18</v>
      </c>
      <c r="G13" s="21" t="s">
        <v>30</v>
      </c>
      <c r="H13" s="25">
        <f>H15*K13/K15</f>
        <v>5.666666666666667</v>
      </c>
      <c r="I13" s="25">
        <f>I15*K13/K15</f>
        <v>7.3666666666666663</v>
      </c>
      <c r="J13" s="25">
        <f>J15*K13/K15</f>
        <v>3.9666666666666668</v>
      </c>
      <c r="K13" s="2">
        <f>K8</f>
        <v>17</v>
      </c>
      <c r="N13" s="2" t="s">
        <v>33</v>
      </c>
      <c r="O13" s="22" t="s">
        <v>27</v>
      </c>
      <c r="P13" s="22" t="s">
        <v>28</v>
      </c>
      <c r="Q13" s="22" t="s">
        <v>29</v>
      </c>
    </row>
    <row r="14" spans="1:18" x14ac:dyDescent="0.25">
      <c r="A14" s="21" t="s">
        <v>31</v>
      </c>
      <c r="B14" s="25">
        <f>B15*D14/D15</f>
        <v>6.8</v>
      </c>
      <c r="C14" s="25">
        <f>D14-B14</f>
        <v>5.2</v>
      </c>
      <c r="D14" s="2">
        <f>D9</f>
        <v>12</v>
      </c>
      <c r="G14" s="21" t="s">
        <v>31</v>
      </c>
      <c r="H14" s="25">
        <f>H15*K14/K15</f>
        <v>4.333333333333333</v>
      </c>
      <c r="I14" s="25">
        <f>I15*K14/K15</f>
        <v>5.6333333333333337</v>
      </c>
      <c r="J14" s="25">
        <f>J15*K14/K15</f>
        <v>3.0333333333333332</v>
      </c>
      <c r="K14" s="2">
        <f>K9</f>
        <v>13</v>
      </c>
      <c r="N14" s="22" t="s">
        <v>30</v>
      </c>
      <c r="O14" s="25">
        <f>O$11*$R8/$R$11</f>
        <v>50.128</v>
      </c>
      <c r="P14" s="25">
        <f t="shared" ref="P14:Q14" si="2">P$11*$R8/$R$11</f>
        <v>33.072000000000003</v>
      </c>
      <c r="Q14" s="25">
        <f t="shared" si="2"/>
        <v>20.8</v>
      </c>
    </row>
    <row r="15" spans="1:18" x14ac:dyDescent="0.25">
      <c r="B15" s="2">
        <f>B10</f>
        <v>17</v>
      </c>
      <c r="C15" s="2">
        <f>C10</f>
        <v>13</v>
      </c>
      <c r="D15" s="2">
        <f>D10</f>
        <v>30</v>
      </c>
      <c r="H15" s="2">
        <f>H10</f>
        <v>10</v>
      </c>
      <c r="I15" s="2">
        <f>I10</f>
        <v>13</v>
      </c>
      <c r="J15" s="2">
        <f>J10</f>
        <v>7</v>
      </c>
      <c r="K15" s="2">
        <f>K10</f>
        <v>30</v>
      </c>
      <c r="N15" s="22" t="s">
        <v>31</v>
      </c>
      <c r="O15" s="25">
        <f t="shared" ref="O15:Q16" si="3">O$11*$R9/$R$11</f>
        <v>35.667999999999999</v>
      </c>
      <c r="P15" s="25">
        <f t="shared" si="3"/>
        <v>23.532</v>
      </c>
      <c r="Q15" s="25">
        <f t="shared" si="3"/>
        <v>14.8</v>
      </c>
    </row>
    <row r="16" spans="1:18" x14ac:dyDescent="0.25">
      <c r="N16" s="22" t="s">
        <v>32</v>
      </c>
      <c r="O16" s="25">
        <f t="shared" si="3"/>
        <v>155.20400000000001</v>
      </c>
      <c r="P16" s="25">
        <f t="shared" si="3"/>
        <v>102.396</v>
      </c>
      <c r="Q16" s="25">
        <f t="shared" si="3"/>
        <v>64.400000000000006</v>
      </c>
    </row>
    <row r="17" spans="1:17" x14ac:dyDescent="0.25">
      <c r="A17" s="2" t="s">
        <v>34</v>
      </c>
      <c r="B17" s="21" t="s">
        <v>27</v>
      </c>
      <c r="C17" s="21" t="s">
        <v>28</v>
      </c>
      <c r="G17" s="2" t="s">
        <v>34</v>
      </c>
      <c r="H17" s="21" t="s">
        <v>27</v>
      </c>
      <c r="I17" s="21" t="s">
        <v>28</v>
      </c>
      <c r="J17" s="21" t="s">
        <v>29</v>
      </c>
    </row>
    <row r="18" spans="1:17" x14ac:dyDescent="0.25">
      <c r="A18" s="21" t="s">
        <v>30</v>
      </c>
      <c r="B18" s="25">
        <f>(B8-B13)^2/B13</f>
        <v>0.76862745098039265</v>
      </c>
      <c r="C18" s="25">
        <f>(C8-C13)^2/C13</f>
        <v>1.0051282051282056</v>
      </c>
      <c r="G18" s="21" t="s">
        <v>30</v>
      </c>
      <c r="H18" s="25">
        <f t="shared" ref="H18:J19" si="4">(H8-H13)^2/H13</f>
        <v>0.96078431372548989</v>
      </c>
      <c r="I18" s="25">
        <f t="shared" si="4"/>
        <v>5.4449472096530997E-2</v>
      </c>
      <c r="J18" s="25">
        <f t="shared" si="4"/>
        <v>2.2187675070028012</v>
      </c>
      <c r="N18" s="2" t="s">
        <v>34</v>
      </c>
      <c r="O18" s="21" t="s">
        <v>27</v>
      </c>
      <c r="P18" s="21" t="s">
        <v>28</v>
      </c>
      <c r="Q18" s="21" t="s">
        <v>29</v>
      </c>
    </row>
    <row r="19" spans="1:17" x14ac:dyDescent="0.25">
      <c r="A19" s="21" t="s">
        <v>31</v>
      </c>
      <c r="B19" s="25">
        <f>(B9-B14)^2/B14</f>
        <v>1.1529411764705881</v>
      </c>
      <c r="C19" s="25">
        <f>(C9-C14)^2/C14</f>
        <v>1.5076923076923074</v>
      </c>
      <c r="G19" s="21" t="s">
        <v>31</v>
      </c>
      <c r="H19" s="25">
        <f t="shared" si="4"/>
        <v>1.2564102564102562</v>
      </c>
      <c r="I19" s="25">
        <f t="shared" si="4"/>
        <v>7.1203155818540517E-2</v>
      </c>
      <c r="J19" s="25">
        <f t="shared" si="4"/>
        <v>2.9014652014652018</v>
      </c>
      <c r="N19" s="22" t="s">
        <v>30</v>
      </c>
      <c r="O19" s="25">
        <f>(O8-O14)^2/O14</f>
        <v>11.613477178423237</v>
      </c>
      <c r="P19" s="25">
        <f t="shared" ref="P19:Q19" si="5">(P8-P14)^2/P14</f>
        <v>1.0625660377358479</v>
      </c>
      <c r="Q19" s="25">
        <f t="shared" si="5"/>
        <v>15.924999999999997</v>
      </c>
    </row>
    <row r="20" spans="1:17" x14ac:dyDescent="0.25">
      <c r="N20" s="22" t="s">
        <v>31</v>
      </c>
      <c r="O20" s="25">
        <f t="shared" ref="O20:Q20" si="6">(O9-O15)^2/O15</f>
        <v>6.8825340361107985</v>
      </c>
      <c r="P20" s="25">
        <f t="shared" si="6"/>
        <v>0.51109229984701676</v>
      </c>
      <c r="Q20" s="25">
        <f t="shared" si="6"/>
        <v>10.056756756756755</v>
      </c>
    </row>
    <row r="21" spans="1:17" x14ac:dyDescent="0.25">
      <c r="A21" s="26" t="s">
        <v>35</v>
      </c>
      <c r="B21" s="27">
        <f>CHITEST(B8:C9,B13:C14)</f>
        <v>3.5221821693218795E-2</v>
      </c>
      <c r="G21" s="26" t="s">
        <v>35</v>
      </c>
      <c r="H21" s="28">
        <f>CHITEST(H8:J9,H13:J14)</f>
        <v>2.3955916425339931E-2</v>
      </c>
      <c r="N21" s="22" t="s">
        <v>32</v>
      </c>
      <c r="O21" s="25">
        <f t="shared" ref="O21:Q21" si="7">(O10-O16)^2/O16</f>
        <v>10.204128862658175</v>
      </c>
      <c r="P21" s="25">
        <f t="shared" si="7"/>
        <v>0.86219008555021703</v>
      </c>
      <c r="Q21" s="25">
        <f t="shared" si="7"/>
        <v>14.350310559006214</v>
      </c>
    </row>
    <row r="22" spans="1:17" ht="19.5" x14ac:dyDescent="0.25">
      <c r="A22" s="29" t="s">
        <v>36</v>
      </c>
      <c r="B22" s="23">
        <f>SUM(B18:C19)</f>
        <v>4.4343891402714934</v>
      </c>
      <c r="D22" s="2" t="s">
        <v>41</v>
      </c>
      <c r="G22" s="29" t="s">
        <v>36</v>
      </c>
      <c r="H22" s="30">
        <f>SUM(H18:J19)</f>
        <v>7.4630799065188214</v>
      </c>
      <c r="J22" s="2" t="s">
        <v>39</v>
      </c>
    </row>
    <row r="23" spans="1:17" x14ac:dyDescent="0.25">
      <c r="N23" s="26" t="s">
        <v>35</v>
      </c>
      <c r="O23" s="33">
        <f>CHITEST(O8:Q10,O14:Q16)</f>
        <v>1.1116739143260991E-14</v>
      </c>
    </row>
    <row r="24" spans="1:17" ht="19.5" x14ac:dyDescent="0.25">
      <c r="G24" s="2" t="s">
        <v>38</v>
      </c>
      <c r="N24" s="29" t="s">
        <v>36</v>
      </c>
      <c r="O24" s="32">
        <f>SUM(O19:Q21)</f>
        <v>71.468055816088253</v>
      </c>
      <c r="Q24" s="2" t="s">
        <v>40</v>
      </c>
    </row>
    <row r="25" spans="1:17" x14ac:dyDescent="0.25">
      <c r="G25" s="31" t="s">
        <v>42</v>
      </c>
      <c r="H25" s="25">
        <f>(H8-H13)/SQRT(H13)</f>
        <v>0.9801960588196067</v>
      </c>
      <c r="I25" s="25">
        <f t="shared" ref="I25:J26" si="8">(I8-I13)/SQRT(I13)</f>
        <v>0.23334410662481064</v>
      </c>
      <c r="J25" s="25">
        <f t="shared" si="8"/>
        <v>-1.4895527875851871</v>
      </c>
    </row>
    <row r="26" spans="1:17" x14ac:dyDescent="0.25">
      <c r="A26" s="20" t="s">
        <v>73</v>
      </c>
      <c r="B26" s="25">
        <f>(B8*C9)/(C8*B9)</f>
        <v>5.2</v>
      </c>
      <c r="H26" s="25">
        <f>(H9-H14)/SQRT(H14)</f>
        <v>-1.1208970766356099</v>
      </c>
      <c r="I26" s="25">
        <f t="shared" si="8"/>
        <v>-0.26683919468200418</v>
      </c>
      <c r="J26" s="25">
        <f t="shared" si="8"/>
        <v>1.7033687802308699</v>
      </c>
      <c r="N26" s="2" t="s">
        <v>38</v>
      </c>
    </row>
    <row r="27" spans="1:17" x14ac:dyDescent="0.25">
      <c r="N27" s="31" t="s">
        <v>42</v>
      </c>
      <c r="O27" s="25">
        <f>(O8-O14)/SQRT(O14)</f>
        <v>-3.4078552167636516</v>
      </c>
      <c r="P27" s="25">
        <f t="shared" ref="P27:Q27" si="9">(P8-P14)/SQRT(P14)</f>
        <v>1.0308084389137722</v>
      </c>
      <c r="Q27" s="25">
        <f t="shared" si="9"/>
        <v>3.9906139878469826</v>
      </c>
    </row>
    <row r="28" spans="1:17" x14ac:dyDescent="0.25">
      <c r="A28" s="42" t="s">
        <v>76</v>
      </c>
      <c r="G28" s="31" t="s">
        <v>43</v>
      </c>
      <c r="H28" s="25">
        <f>(1-H$10/$K$10)*(1-$K8/$K$10)</f>
        <v>0.28888888888888892</v>
      </c>
      <c r="I28" s="25">
        <f t="shared" ref="I28:J29" si="10">(1-I$10/$K$10)*(1-$K8/$K$10)</f>
        <v>0.24555555555555555</v>
      </c>
      <c r="J28" s="25">
        <f t="shared" si="10"/>
        <v>0.3322222222222222</v>
      </c>
      <c r="O28" s="25">
        <f t="shared" ref="O28:Q28" si="11">(O9-O15)/SQRT(O15)</f>
        <v>-2.6234584113552857</v>
      </c>
      <c r="P28" s="25">
        <f t="shared" si="11"/>
        <v>0.71490719666752323</v>
      </c>
      <c r="Q28" s="25">
        <f t="shared" si="11"/>
        <v>3.1712389939512216</v>
      </c>
    </row>
    <row r="29" spans="1:17" x14ac:dyDescent="0.25">
      <c r="A29" s="42" t="s">
        <v>81</v>
      </c>
      <c r="H29" s="25">
        <f>(1-H$10/$K$10)*(1-$K9/$K$10)</f>
        <v>0.37777777777777782</v>
      </c>
      <c r="I29" s="25">
        <f t="shared" si="10"/>
        <v>0.32111111111111107</v>
      </c>
      <c r="J29" s="25">
        <f t="shared" si="10"/>
        <v>0.43444444444444441</v>
      </c>
      <c r="O29" s="25">
        <f t="shared" ref="O29:Q29" si="12">(O10-O16)/SQRT(O16)</f>
        <v>3.1943902176562862</v>
      </c>
      <c r="P29" s="25">
        <f t="shared" si="12"/>
        <v>-0.92854191372830175</v>
      </c>
      <c r="Q29" s="25">
        <f t="shared" si="12"/>
        <v>-3.7881803757221242</v>
      </c>
    </row>
    <row r="30" spans="1:17" x14ac:dyDescent="0.25">
      <c r="A30" s="42" t="s">
        <v>77</v>
      </c>
    </row>
    <row r="31" spans="1:17" x14ac:dyDescent="0.25">
      <c r="A31" s="42" t="s">
        <v>74</v>
      </c>
      <c r="G31" s="20" t="s">
        <v>44</v>
      </c>
      <c r="N31" s="31" t="s">
        <v>43</v>
      </c>
      <c r="O31" s="25">
        <f>(1-O$11/$R$11)*(1-$R8/$R$11)</f>
        <v>0.41025600000000001</v>
      </c>
      <c r="P31" s="25">
        <f t="shared" ref="P31:Q31" si="13">(1-P$11/$R$11)*(1-$R8/$R$11)</f>
        <v>0.54014399999999996</v>
      </c>
      <c r="Q31" s="25">
        <f t="shared" si="13"/>
        <v>0.63360000000000005</v>
      </c>
    </row>
    <row r="32" spans="1:17" x14ac:dyDescent="0.25">
      <c r="A32" s="42" t="s">
        <v>75</v>
      </c>
      <c r="H32" s="21" t="s">
        <v>27</v>
      </c>
      <c r="I32" s="21" t="s">
        <v>28</v>
      </c>
      <c r="J32" s="21" t="s">
        <v>29</v>
      </c>
      <c r="O32" s="25">
        <f t="shared" ref="O32:Q32" si="14">(1-O$11/$R$11)*(1-$R9/$R$11)</f>
        <v>0.44133600000000001</v>
      </c>
      <c r="P32" s="25">
        <f t="shared" si="14"/>
        <v>0.58106399999999991</v>
      </c>
      <c r="Q32" s="25">
        <f t="shared" si="14"/>
        <v>0.68159999999999998</v>
      </c>
    </row>
    <row r="33" spans="1:17" x14ac:dyDescent="0.25">
      <c r="G33" s="21" t="s">
        <v>30</v>
      </c>
      <c r="H33" s="30">
        <f>H25/SQRT(H28)</f>
        <v>1.823675370016171</v>
      </c>
      <c r="I33" s="30">
        <f t="shared" ref="I33:J34" si="15">I25/SQRT(I28)</f>
        <v>0.47089269649765447</v>
      </c>
      <c r="J33" s="30">
        <f t="shared" si="15"/>
        <v>-2.584291857037353</v>
      </c>
      <c r="O33" s="25">
        <f t="shared" ref="O33:Q33" si="16">(1-O$11/$R$11)*(1-$R10/$R$11)</f>
        <v>0.18440799999999999</v>
      </c>
      <c r="P33" s="25">
        <f t="shared" si="16"/>
        <v>0.24279199999999998</v>
      </c>
      <c r="Q33" s="25">
        <f t="shared" si="16"/>
        <v>0.2848</v>
      </c>
    </row>
    <row r="34" spans="1:17" x14ac:dyDescent="0.25">
      <c r="A34" s="20" t="s">
        <v>78</v>
      </c>
      <c r="G34" s="21" t="s">
        <v>31</v>
      </c>
      <c r="H34" s="30">
        <f>H26/SQRT(H29)</f>
        <v>-1.8236753700161714</v>
      </c>
      <c r="I34" s="30">
        <f t="shared" si="15"/>
        <v>-0.47089269649765442</v>
      </c>
      <c r="J34" s="30">
        <f t="shared" si="15"/>
        <v>2.584291857037353</v>
      </c>
    </row>
    <row r="35" spans="1:17" x14ac:dyDescent="0.25">
      <c r="N35" s="20" t="s">
        <v>44</v>
      </c>
    </row>
    <row r="36" spans="1:17" x14ac:dyDescent="0.25">
      <c r="A36" s="2" t="s">
        <v>79</v>
      </c>
      <c r="B36" s="43">
        <f>B26*EXP(-1.96*SQRT(1/B8+1/C8+1/B9+1/C9))</f>
        <v>1.0683551851940882</v>
      </c>
      <c r="G36" s="11" t="s">
        <v>46</v>
      </c>
      <c r="N36" s="20"/>
      <c r="O36" s="22" t="s">
        <v>27</v>
      </c>
      <c r="P36" s="22" t="s">
        <v>28</v>
      </c>
      <c r="Q36" s="22" t="s">
        <v>29</v>
      </c>
    </row>
    <row r="37" spans="1:17" x14ac:dyDescent="0.25">
      <c r="A37" s="2" t="s">
        <v>80</v>
      </c>
      <c r="B37" s="43">
        <f>B26*EXP(1.96*SQRT(1/B8+1/C8+1/B9+1/C9))</f>
        <v>25.30993472464651</v>
      </c>
      <c r="G37" s="11" t="s">
        <v>45</v>
      </c>
      <c r="N37" s="22" t="s">
        <v>30</v>
      </c>
      <c r="O37" s="32">
        <f>O27/SQRT(O31)</f>
        <v>-5.3205149121382567</v>
      </c>
      <c r="P37" s="32">
        <f t="shared" ref="P37:Q37" si="17">P27/SQRT(P31)</f>
        <v>1.4025656136580031</v>
      </c>
      <c r="Q37" s="32">
        <f t="shared" si="17"/>
        <v>5.013397454860729</v>
      </c>
    </row>
    <row r="38" spans="1:17" x14ac:dyDescent="0.25">
      <c r="N38" s="22" t="s">
        <v>31</v>
      </c>
      <c r="O38" s="32">
        <f t="shared" ref="O38:Q38" si="18">O28/SQRT(O32)</f>
        <v>-3.9490215766070946</v>
      </c>
      <c r="P38" s="32">
        <f t="shared" si="18"/>
        <v>0.93785928901764537</v>
      </c>
      <c r="Q38" s="32">
        <f t="shared" si="18"/>
        <v>3.8411757824857915</v>
      </c>
    </row>
    <row r="39" spans="1:17" x14ac:dyDescent="0.25">
      <c r="A39" s="44" t="str">
        <f>ROUND(B36,3)&amp;" ≦ オッズ比　≦"&amp;ROUND(B37,3)</f>
        <v>1.068 ≦ オッズ比　≦25.31</v>
      </c>
      <c r="B39" s="45"/>
      <c r="C39" s="45"/>
      <c r="N39" s="22" t="s">
        <v>32</v>
      </c>
      <c r="O39" s="32">
        <f t="shared" ref="O39:Q39" si="19">O29/SQRT(O33)</f>
        <v>7.4387178860195213</v>
      </c>
      <c r="P39" s="32">
        <f t="shared" si="19"/>
        <v>-1.8844487291715082</v>
      </c>
      <c r="Q39" s="32">
        <f t="shared" si="19"/>
        <v>-7.0984030880899525</v>
      </c>
    </row>
    <row r="41" spans="1:17" x14ac:dyDescent="0.25">
      <c r="A41" s="46"/>
      <c r="M41" s="11" t="s">
        <v>46</v>
      </c>
    </row>
    <row r="42" spans="1:17" x14ac:dyDescent="0.25">
      <c r="M42" s="11" t="s">
        <v>45</v>
      </c>
    </row>
  </sheetData>
  <mergeCells count="1">
    <mergeCell ref="B1:N1"/>
  </mergeCells>
  <phoneticPr fontId="1"/>
  <pageMargins left="0.75" right="0.75" top="1" bottom="1" header="0.51200000000000001" footer="0.51200000000000001"/>
  <pageSetup paperSize="9" scale="67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9393-95CB-4847-A17D-3E90E925B452}">
  <dimension ref="A1:H25"/>
  <sheetViews>
    <sheetView showGridLines="0" workbookViewId="0">
      <selection activeCell="I4" sqref="I4"/>
    </sheetView>
  </sheetViews>
  <sheetFormatPr defaultRowHeight="13" x14ac:dyDescent="0.2"/>
  <cols>
    <col min="2" max="2" width="10.36328125" customWidth="1"/>
    <col min="258" max="258" width="10.36328125" customWidth="1"/>
    <col min="514" max="514" width="10.36328125" customWidth="1"/>
    <col min="770" max="770" width="10.36328125" customWidth="1"/>
    <col min="1026" max="1026" width="10.36328125" customWidth="1"/>
    <col min="1282" max="1282" width="10.36328125" customWidth="1"/>
    <col min="1538" max="1538" width="10.36328125" customWidth="1"/>
    <col min="1794" max="1794" width="10.36328125" customWidth="1"/>
    <col min="2050" max="2050" width="10.36328125" customWidth="1"/>
    <col min="2306" max="2306" width="10.36328125" customWidth="1"/>
    <col min="2562" max="2562" width="10.36328125" customWidth="1"/>
    <col min="2818" max="2818" width="10.36328125" customWidth="1"/>
    <col min="3074" max="3074" width="10.36328125" customWidth="1"/>
    <col min="3330" max="3330" width="10.36328125" customWidth="1"/>
    <col min="3586" max="3586" width="10.36328125" customWidth="1"/>
    <col min="3842" max="3842" width="10.36328125" customWidth="1"/>
    <col min="4098" max="4098" width="10.36328125" customWidth="1"/>
    <col min="4354" max="4354" width="10.36328125" customWidth="1"/>
    <col min="4610" max="4610" width="10.36328125" customWidth="1"/>
    <col min="4866" max="4866" width="10.36328125" customWidth="1"/>
    <col min="5122" max="5122" width="10.36328125" customWidth="1"/>
    <col min="5378" max="5378" width="10.36328125" customWidth="1"/>
    <col min="5634" max="5634" width="10.36328125" customWidth="1"/>
    <col min="5890" max="5890" width="10.36328125" customWidth="1"/>
    <col min="6146" max="6146" width="10.36328125" customWidth="1"/>
    <col min="6402" max="6402" width="10.36328125" customWidth="1"/>
    <col min="6658" max="6658" width="10.36328125" customWidth="1"/>
    <col min="6914" max="6914" width="10.36328125" customWidth="1"/>
    <col min="7170" max="7170" width="10.36328125" customWidth="1"/>
    <col min="7426" max="7426" width="10.36328125" customWidth="1"/>
    <col min="7682" max="7682" width="10.36328125" customWidth="1"/>
    <col min="7938" max="7938" width="10.36328125" customWidth="1"/>
    <col min="8194" max="8194" width="10.36328125" customWidth="1"/>
    <col min="8450" max="8450" width="10.36328125" customWidth="1"/>
    <col min="8706" max="8706" width="10.36328125" customWidth="1"/>
    <col min="8962" max="8962" width="10.36328125" customWidth="1"/>
    <col min="9218" max="9218" width="10.36328125" customWidth="1"/>
    <col min="9474" max="9474" width="10.36328125" customWidth="1"/>
    <col min="9730" max="9730" width="10.36328125" customWidth="1"/>
    <col min="9986" max="9986" width="10.36328125" customWidth="1"/>
    <col min="10242" max="10242" width="10.36328125" customWidth="1"/>
    <col min="10498" max="10498" width="10.36328125" customWidth="1"/>
    <col min="10754" max="10754" width="10.36328125" customWidth="1"/>
    <col min="11010" max="11010" width="10.36328125" customWidth="1"/>
    <col min="11266" max="11266" width="10.36328125" customWidth="1"/>
    <col min="11522" max="11522" width="10.36328125" customWidth="1"/>
    <col min="11778" max="11778" width="10.36328125" customWidth="1"/>
    <col min="12034" max="12034" width="10.36328125" customWidth="1"/>
    <col min="12290" max="12290" width="10.36328125" customWidth="1"/>
    <col min="12546" max="12546" width="10.36328125" customWidth="1"/>
    <col min="12802" max="12802" width="10.36328125" customWidth="1"/>
    <col min="13058" max="13058" width="10.36328125" customWidth="1"/>
    <col min="13314" max="13314" width="10.36328125" customWidth="1"/>
    <col min="13570" max="13570" width="10.36328125" customWidth="1"/>
    <col min="13826" max="13826" width="10.36328125" customWidth="1"/>
    <col min="14082" max="14082" width="10.36328125" customWidth="1"/>
    <col min="14338" max="14338" width="10.36328125" customWidth="1"/>
    <col min="14594" max="14594" width="10.36328125" customWidth="1"/>
    <col min="14850" max="14850" width="10.36328125" customWidth="1"/>
    <col min="15106" max="15106" width="10.36328125" customWidth="1"/>
    <col min="15362" max="15362" width="10.36328125" customWidth="1"/>
    <col min="15618" max="15618" width="10.36328125" customWidth="1"/>
    <col min="15874" max="15874" width="10.36328125" customWidth="1"/>
    <col min="16130" max="16130" width="10.36328125" customWidth="1"/>
  </cols>
  <sheetData>
    <row r="1" spans="1:7" x14ac:dyDescent="0.2">
      <c r="A1" t="s">
        <v>47</v>
      </c>
      <c r="B1" t="s">
        <v>48</v>
      </c>
      <c r="C1" t="s">
        <v>49</v>
      </c>
    </row>
    <row r="2" spans="1:7" x14ac:dyDescent="0.2">
      <c r="A2" t="s">
        <v>50</v>
      </c>
      <c r="B2">
        <v>1</v>
      </c>
      <c r="D2" t="s">
        <v>49</v>
      </c>
      <c r="E2" t="s">
        <v>51</v>
      </c>
      <c r="F2">
        <f>4/(1/201+1/205+1/198+1/177)</f>
        <v>194.61504336627712</v>
      </c>
    </row>
    <row r="3" spans="1:7" x14ac:dyDescent="0.2">
      <c r="E3" t="s">
        <v>52</v>
      </c>
      <c r="F3">
        <f>821/F2</f>
        <v>4.2185844721922603</v>
      </c>
    </row>
    <row r="4" spans="1:7" x14ac:dyDescent="0.2">
      <c r="B4" t="s">
        <v>53</v>
      </c>
      <c r="C4" t="s">
        <v>54</v>
      </c>
    </row>
    <row r="5" spans="1:7" x14ac:dyDescent="0.2">
      <c r="A5" t="s">
        <v>55</v>
      </c>
      <c r="B5" s="1">
        <v>15</v>
      </c>
      <c r="C5" s="1">
        <v>14</v>
      </c>
    </row>
    <row r="6" spans="1:7" x14ac:dyDescent="0.2">
      <c r="A6" t="s">
        <v>56</v>
      </c>
      <c r="B6" s="1">
        <v>30</v>
      </c>
      <c r="C6" s="1">
        <v>20</v>
      </c>
    </row>
    <row r="8" spans="1:7" x14ac:dyDescent="0.2">
      <c r="B8" t="s">
        <v>57</v>
      </c>
      <c r="C8" t="s">
        <v>58</v>
      </c>
      <c r="D8" t="s">
        <v>59</v>
      </c>
    </row>
    <row r="9" spans="1:7" x14ac:dyDescent="0.2">
      <c r="A9" t="s">
        <v>55</v>
      </c>
      <c r="B9">
        <f>180/PI()*ASIN(SQRT(B5/100))</f>
        <v>22.786497999597149</v>
      </c>
      <c r="C9">
        <f>180/PI()*ASIN(SQRT(C5/100))</f>
        <v>21.972759781154423</v>
      </c>
      <c r="D9">
        <f>+(B9+C9)/2</f>
        <v>22.379628890375784</v>
      </c>
    </row>
    <row r="10" spans="1:7" x14ac:dyDescent="0.2">
      <c r="A10" t="s">
        <v>56</v>
      </c>
      <c r="B10">
        <f>180/PI()*ASIN(SQRT(B6/100))</f>
        <v>33.210910760899083</v>
      </c>
      <c r="C10">
        <f>180/PI()*ASIN(SQRT(C6/100))</f>
        <v>26.56505117707799</v>
      </c>
      <c r="D10">
        <f>+(B10+C10)/2</f>
        <v>29.887980968988536</v>
      </c>
      <c r="E10" t="s">
        <v>49</v>
      </c>
    </row>
    <row r="11" spans="1:7" x14ac:dyDescent="0.2">
      <c r="A11" t="s">
        <v>59</v>
      </c>
      <c r="B11">
        <f>+(B9+B10)/2</f>
        <v>27.998704380248114</v>
      </c>
      <c r="C11">
        <f>+(C9+C10)/2</f>
        <v>24.268905479116206</v>
      </c>
      <c r="D11">
        <f>+(B11+C11)/2</f>
        <v>26.13380492968216</v>
      </c>
      <c r="F11" t="s">
        <v>60</v>
      </c>
      <c r="G11">
        <f>+B9+B10+C9+C10</f>
        <v>104.53521971872864</v>
      </c>
    </row>
    <row r="13" spans="1:7" x14ac:dyDescent="0.2">
      <c r="B13" t="s">
        <v>61</v>
      </c>
      <c r="C13">
        <f>+(B9*B9+C9*C9+B10*B10+C10*C10)-G11*G11/4</f>
        <v>78.790160684418879</v>
      </c>
    </row>
    <row r="14" spans="1:7" x14ac:dyDescent="0.2">
      <c r="B14" t="s">
        <v>62</v>
      </c>
      <c r="C14">
        <f>2*(D9*D9+D10*D10-(D9+D10)*(D9+D10)/2)</f>
        <v>56.375350936408267</v>
      </c>
    </row>
    <row r="15" spans="1:7" x14ac:dyDescent="0.2">
      <c r="B15" t="s">
        <v>63</v>
      </c>
      <c r="C15">
        <f>2*(B11*B11+C11*C11-(B11+C11)*(B11+C11)/2)</f>
        <v>13.911399842884293</v>
      </c>
    </row>
    <row r="16" spans="1:7" x14ac:dyDescent="0.2">
      <c r="B16" t="s">
        <v>64</v>
      </c>
      <c r="C16">
        <f>+C13-C14-C15</f>
        <v>8.5034099051263183</v>
      </c>
    </row>
    <row r="17" spans="2:8" x14ac:dyDescent="0.2">
      <c r="G17" t="s">
        <v>53</v>
      </c>
      <c r="H17" t="s">
        <v>54</v>
      </c>
    </row>
    <row r="18" spans="2:8" x14ac:dyDescent="0.2">
      <c r="B18" t="s">
        <v>47</v>
      </c>
      <c r="C18" t="str">
        <f>+B1</f>
        <v>場面の合成</v>
      </c>
      <c r="F18" t="s">
        <v>55</v>
      </c>
      <c r="G18">
        <f>+B5</f>
        <v>15</v>
      </c>
      <c r="H18">
        <f>+C5</f>
        <v>14</v>
      </c>
    </row>
    <row r="19" spans="2:8" x14ac:dyDescent="0.2">
      <c r="B19" t="s">
        <v>50</v>
      </c>
      <c r="C19">
        <f>+B2</f>
        <v>1</v>
      </c>
      <c r="F19" t="s">
        <v>56</v>
      </c>
      <c r="G19">
        <f>+B6</f>
        <v>30</v>
      </c>
      <c r="H19">
        <f>+C6</f>
        <v>20</v>
      </c>
    </row>
    <row r="21" spans="2:8" x14ac:dyDescent="0.2">
      <c r="B21" s="34" t="s">
        <v>65</v>
      </c>
      <c r="C21" s="34" t="s">
        <v>66</v>
      </c>
      <c r="D21" s="34" t="s">
        <v>67</v>
      </c>
      <c r="E21" s="34" t="s">
        <v>68</v>
      </c>
      <c r="F21" s="34" t="s">
        <v>5</v>
      </c>
    </row>
    <row r="22" spans="2:8" x14ac:dyDescent="0.2">
      <c r="B22" t="s">
        <v>69</v>
      </c>
      <c r="C22">
        <f>+C14</f>
        <v>56.375350936408267</v>
      </c>
      <c r="D22">
        <v>1</v>
      </c>
      <c r="E22">
        <f>+C22/C25</f>
        <v>13.363570483895476</v>
      </c>
      <c r="F22">
        <f>CHIDIST(E22,1)</f>
        <v>2.5655939525002217E-4</v>
      </c>
    </row>
    <row r="23" spans="2:8" x14ac:dyDescent="0.2">
      <c r="B23" t="s">
        <v>70</v>
      </c>
      <c r="C23">
        <f>+C15</f>
        <v>13.911399842884293</v>
      </c>
      <c r="D23">
        <v>1</v>
      </c>
      <c r="E23">
        <f>+C23/C25</f>
        <v>3.2976463869775241</v>
      </c>
      <c r="F23">
        <f>CHIDIST(E23,1)</f>
        <v>6.9379225769641603E-2</v>
      </c>
    </row>
    <row r="24" spans="2:8" x14ac:dyDescent="0.2">
      <c r="B24" s="35" t="s">
        <v>71</v>
      </c>
      <c r="C24" s="35">
        <f>+C16</f>
        <v>8.5034099051263183</v>
      </c>
      <c r="D24" s="35">
        <v>1</v>
      </c>
      <c r="E24" s="35">
        <f>+C24/C25</f>
        <v>2.0157021771588171</v>
      </c>
      <c r="F24" s="35">
        <f>CHIDIST(E24,1)</f>
        <v>0.15567923351059007</v>
      </c>
    </row>
    <row r="25" spans="2:8" x14ac:dyDescent="0.2">
      <c r="B25" t="s">
        <v>72</v>
      </c>
      <c r="C25">
        <f>+F3</f>
        <v>4.2185844721922603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t検定_F検定_効果量(ES)</vt:lpstr>
      <vt:lpstr>χ2検定_残差分析</vt:lpstr>
      <vt:lpstr>逆正弦変換法</vt:lpstr>
    </vt:vector>
  </TitlesOfParts>
  <Company>東京学芸大学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     学</dc:creator>
  <cp:lastModifiedBy>manabu kishi</cp:lastModifiedBy>
  <cp:lastPrinted>2024-05-16T04:39:38Z</cp:lastPrinted>
  <dcterms:created xsi:type="dcterms:W3CDTF">1997-07-02T09:50:42Z</dcterms:created>
  <dcterms:modified xsi:type="dcterms:W3CDTF">2024-05-28T07:39:01Z</dcterms:modified>
</cp:coreProperties>
</file>